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92" windowHeight="8196" activeTab="1"/>
  </bookViews>
  <sheets>
    <sheet name="Section 1 Pricing" sheetId="1" r:id="rId1"/>
    <sheet name="Pump Prices" sheetId="2" r:id="rId2"/>
  </sheets>
  <definedNames>
    <definedName name="_xlfn.F.DIST" hidden="1">#NAME?</definedName>
    <definedName name="Shaft_Seal">'Section 1 Pricing'!$C$18:$C$24</definedName>
  </definedNames>
  <calcPr fullCalcOnLoad="1"/>
</workbook>
</file>

<file path=xl/sharedStrings.xml><?xml version="1.0" encoding="utf-8"?>
<sst xmlns="http://schemas.openxmlformats.org/spreadsheetml/2006/main" count="125" uniqueCount="74">
  <si>
    <t>Size:</t>
  </si>
  <si>
    <t>Duty:</t>
  </si>
  <si>
    <t>Bearing Material:</t>
  </si>
  <si>
    <t>Bronze Bearing</t>
  </si>
  <si>
    <t>Carbon Bearing</t>
  </si>
  <si>
    <t>Pump Mount:</t>
  </si>
  <si>
    <t>Shaft Seal:</t>
  </si>
  <si>
    <t>Clearance:</t>
  </si>
  <si>
    <t>Rotation &amp; R.V.:</t>
  </si>
  <si>
    <t>Price</t>
  </si>
  <si>
    <t>Size</t>
  </si>
  <si>
    <t>Duty</t>
  </si>
  <si>
    <t>Bearing</t>
  </si>
  <si>
    <t>Mount</t>
  </si>
  <si>
    <t>Seal</t>
  </si>
  <si>
    <t>Rotation</t>
  </si>
  <si>
    <t>Clearance</t>
  </si>
  <si>
    <t>Mechanical – BUNA ‘N’</t>
  </si>
  <si>
    <t>Mechanical – VITON</t>
  </si>
  <si>
    <t>Mechanical – NEOPRENE</t>
  </si>
  <si>
    <t>Clock Wise (C.W) Rotation &amp; Relief Valve</t>
  </si>
  <si>
    <t>Counter Clockwise (C.C.W) Rotation &amp; Relief Valve</t>
  </si>
  <si>
    <t>Clock Wise (C.W) Rotation ONLY</t>
  </si>
  <si>
    <t>Counter Clockwise (C.C.W) Rotation ONLY</t>
  </si>
  <si>
    <t>30 SSU – 10,000 SSU</t>
  </si>
  <si>
    <t>10,000 SSU – 50,000 SSU</t>
  </si>
  <si>
    <t>Over 50,000 SSU</t>
  </si>
  <si>
    <t>Temperature Clearance over 250ºF</t>
  </si>
  <si>
    <t>(Prices subject to change)</t>
  </si>
  <si>
    <t>Select Options</t>
  </si>
  <si>
    <t>Model #</t>
  </si>
  <si>
    <t>G</t>
  </si>
  <si>
    <t>H</t>
  </si>
  <si>
    <t>Pressures to 250 PSI</t>
  </si>
  <si>
    <t>Pressures to 500 PSI</t>
  </si>
  <si>
    <t>D</t>
  </si>
  <si>
    <t>N</t>
  </si>
  <si>
    <t>Ductile Iron</t>
  </si>
  <si>
    <t>Needle Bearing (H Duty)</t>
  </si>
  <si>
    <t>Pedestal Pump</t>
  </si>
  <si>
    <t>Close Coupled ( w/ Nema Bracket )</t>
  </si>
  <si>
    <t>Mechanical – VITON Type 2(H Duty)</t>
  </si>
  <si>
    <t>Bracket:</t>
  </si>
  <si>
    <t>Coating:</t>
  </si>
  <si>
    <t>Shafts/Gears</t>
  </si>
  <si>
    <t>Ductile Brgs</t>
  </si>
  <si>
    <t>S</t>
  </si>
  <si>
    <t xml:space="preserve">Cast Iron </t>
  </si>
  <si>
    <t>N/A</t>
  </si>
  <si>
    <t>No</t>
  </si>
  <si>
    <t>Section 1</t>
  </si>
  <si>
    <t>B</t>
  </si>
  <si>
    <t>C</t>
  </si>
  <si>
    <t>Shaft Seal</t>
  </si>
  <si>
    <t>Bracket</t>
  </si>
  <si>
    <t>Coating</t>
  </si>
  <si>
    <t>Shaft/Gears</t>
  </si>
  <si>
    <t>Ductile BRGS</t>
  </si>
  <si>
    <t>Options: 3, 5, 10, 18, 25, and 35 GPM</t>
  </si>
  <si>
    <t>Mechanical - EPDM</t>
  </si>
  <si>
    <t>Mechanical – TEFLON(H Duty)</t>
  </si>
  <si>
    <t>Repair Kit#</t>
  </si>
  <si>
    <t>Rotation:</t>
  </si>
  <si>
    <t>Pump Number</t>
  </si>
  <si>
    <t>56C/143TC/145TC Frame</t>
  </si>
  <si>
    <t>182TC/184TC Frame</t>
  </si>
  <si>
    <t>Less Bracket(Close Coupled only)</t>
  </si>
  <si>
    <t>Packing - Grafoil</t>
  </si>
  <si>
    <t>Net Price:</t>
  </si>
  <si>
    <t>Net US$ Unit Price =</t>
  </si>
  <si>
    <t xml:space="preserve"> = Total Price</t>
  </si>
  <si>
    <t>US$ Price</t>
  </si>
  <si>
    <t>Prices Effective – February 1 / 2022</t>
  </si>
  <si>
    <t>G&amp;H Geariron Series Gear Pump US$ Net Prices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</si>
</sst>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"/>
    <numFmt numFmtId="167" formatCode="&quot;$&quot;#,##0.00"/>
    <numFmt numFmtId="168" formatCode="&quot;$&quot;#,##0;[Red]&quot;$&quot;#,##0"/>
    <numFmt numFmtId="169" formatCode="#,##0.000000"/>
    <numFmt numFmtId="170" formatCode="00000"/>
    <numFmt numFmtId="171" formatCode="#,##0.0"/>
    <numFmt numFmtId="172" formatCode="&quot;$&quot;#,##0.00;[Red]&quot;$&quot;#,##0.00"/>
    <numFmt numFmtId="173" formatCode="&quot;$&quot;#,##0.0;[Red]&quot;$&quot;#,##0.0"/>
    <numFmt numFmtId="174" formatCode="&quot;$&quot;#,##0.0000;[Red]&quot;$&quot;#,##0.0000"/>
    <numFmt numFmtId="175" formatCode="&quot;$&quot;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 style="thick"/>
    </border>
    <border>
      <left/>
      <right/>
      <top style="medium"/>
      <bottom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ck"/>
    </border>
    <border>
      <left/>
      <right/>
      <top style="thick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67" fontId="3" fillId="0" borderId="0" xfId="44" applyNumberFormat="1" applyFont="1" applyFill="1" applyAlignment="1">
      <alignment horizontal="right"/>
    </xf>
    <xf numFmtId="167" fontId="9" fillId="0" borderId="0" xfId="44" applyNumberFormat="1" applyFont="1" applyFill="1" applyAlignment="1">
      <alignment horizontal="right"/>
    </xf>
    <xf numFmtId="0" fontId="8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8" fillId="2" borderId="0" xfId="0" applyFont="1" applyFill="1" applyAlignment="1">
      <alignment/>
    </xf>
    <xf numFmtId="49" fontId="10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166" fontId="8" fillId="33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164" fontId="0" fillId="0" borderId="0" xfId="0" applyNumberFormat="1" applyAlignment="1">
      <alignment/>
    </xf>
    <xf numFmtId="0" fontId="11" fillId="33" borderId="0" xfId="0" applyFont="1" applyFill="1" applyAlignment="1">
      <alignment/>
    </xf>
    <xf numFmtId="1" fontId="8" fillId="2" borderId="1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8" fillId="2" borderId="0" xfId="0" applyFont="1" applyFill="1" applyAlignment="1">
      <alignment wrapText="1"/>
    </xf>
    <xf numFmtId="164" fontId="0" fillId="33" borderId="0" xfId="0" applyNumberFormat="1" applyFill="1" applyAlignment="1">
      <alignment/>
    </xf>
    <xf numFmtId="164" fontId="8" fillId="33" borderId="0" xfId="44" applyNumberFormat="1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166" fontId="3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6" fontId="8" fillId="2" borderId="0" xfId="44" applyNumberFormat="1" applyFont="1" applyFill="1" applyAlignment="1">
      <alignment horizontal="right"/>
    </xf>
    <xf numFmtId="166" fontId="8" fillId="33" borderId="0" xfId="44" applyNumberFormat="1" applyFont="1" applyFill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66" fontId="3" fillId="34" borderId="17" xfId="0" applyNumberFormat="1" applyFont="1" applyFill="1" applyBorder="1" applyAlignment="1">
      <alignment horizontal="right"/>
    </xf>
    <xf numFmtId="166" fontId="12" fillId="33" borderId="0" xfId="44" applyNumberFormat="1" applyFont="1" applyFill="1" applyAlignment="1">
      <alignment horizontal="right"/>
    </xf>
    <xf numFmtId="3" fontId="8" fillId="2" borderId="0" xfId="44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166" fontId="4" fillId="34" borderId="0" xfId="0" applyNumberFormat="1" applyFont="1" applyFill="1" applyAlignment="1">
      <alignment horizontal="right"/>
    </xf>
    <xf numFmtId="0" fontId="4" fillId="34" borderId="18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6" fontId="3" fillId="0" borderId="0" xfId="0" applyNumberFormat="1" applyFont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164" fontId="0" fillId="36" borderId="0" xfId="0" applyNumberFormat="1" applyFill="1" applyAlignment="1">
      <alignment/>
    </xf>
    <xf numFmtId="0" fontId="0" fillId="36" borderId="0" xfId="0" applyFill="1" applyAlignment="1">
      <alignment horizontal="center" vertical="center"/>
    </xf>
    <xf numFmtId="1" fontId="0" fillId="36" borderId="0" xfId="0" applyNumberFormat="1" applyFill="1" applyAlignment="1">
      <alignment/>
    </xf>
    <xf numFmtId="166" fontId="4" fillId="0" borderId="12" xfId="0" applyNumberFormat="1" applyFont="1" applyFill="1" applyBorder="1" applyAlignment="1">
      <alignment/>
    </xf>
    <xf numFmtId="164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/>
    </xf>
    <xf numFmtId="1" fontId="3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35" borderId="25" xfId="0" applyFont="1" applyFill="1" applyBorder="1" applyAlignment="1">
      <alignment horizontal="right" vertical="center" textRotation="90"/>
    </xf>
    <xf numFmtId="0" fontId="6" fillId="35" borderId="26" xfId="0" applyFont="1" applyFill="1" applyBorder="1" applyAlignment="1">
      <alignment horizontal="right" vertical="center" textRotation="9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1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104775</xdr:colOff>
      <xdr:row>0</xdr:row>
      <xdr:rowOff>781050</xdr:rowOff>
    </xdr:to>
    <xdr:pic>
      <xdr:nvPicPr>
        <xdr:cNvPr id="1" name="Picture 1" descr="newhead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8575"/>
          <a:ext cx="1743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8"/>
  <sheetViews>
    <sheetView zoomScale="110" zoomScaleNormal="110" zoomScalePageLayoutView="0" workbookViewId="0" topLeftCell="A43">
      <selection activeCell="B36" sqref="B36"/>
    </sheetView>
  </sheetViews>
  <sheetFormatPr defaultColWidth="9.140625" defaultRowHeight="15"/>
  <cols>
    <col min="1" max="1" width="12.00390625" style="0" customWidth="1"/>
    <col min="2" max="2" width="8.421875" style="0" customWidth="1"/>
    <col min="3" max="11" width="7.28125" style="0" customWidth="1"/>
  </cols>
  <sheetData>
    <row r="1" ht="76.5" customHeight="1"/>
    <row r="2" spans="1:11" ht="18">
      <c r="A2" s="1" t="s">
        <v>73</v>
      </c>
      <c r="B2" s="1"/>
      <c r="C2" s="1"/>
      <c r="D2" s="1"/>
      <c r="E2" s="1"/>
      <c r="F2" s="2"/>
      <c r="G2" s="2"/>
      <c r="H2" s="2"/>
      <c r="I2" s="1" t="s">
        <v>50</v>
      </c>
      <c r="J2" s="8"/>
      <c r="K2" s="8"/>
    </row>
    <row r="3" spans="1:11" ht="15" thickBot="1">
      <c r="A3" s="13"/>
      <c r="B3" s="103" t="s">
        <v>29</v>
      </c>
      <c r="C3" s="103"/>
      <c r="D3" s="13"/>
      <c r="E3" s="13"/>
      <c r="F3" s="13"/>
      <c r="G3" s="13"/>
      <c r="H3" s="13"/>
      <c r="I3" s="14" t="s">
        <v>71</v>
      </c>
      <c r="J3" s="13"/>
      <c r="K3" s="10"/>
    </row>
    <row r="4" spans="1:11" ht="15" thickBot="1">
      <c r="A4" s="15" t="s">
        <v>0</v>
      </c>
      <c r="B4" s="40">
        <v>3</v>
      </c>
      <c r="C4" s="16"/>
      <c r="D4" s="15" t="s">
        <v>58</v>
      </c>
      <c r="E4" s="15"/>
      <c r="F4" s="15"/>
      <c r="G4" s="15"/>
      <c r="H4" s="15"/>
      <c r="I4" s="17">
        <f>HLOOKUP(B$4,'Pump Prices'!D2:I3,2)</f>
        <v>421.8863654732078</v>
      </c>
      <c r="J4" s="52">
        <f>I4</f>
        <v>421.8863654732078</v>
      </c>
      <c r="K4" s="11"/>
    </row>
    <row r="5" spans="1:11" ht="9" customHeight="1" thickBot="1">
      <c r="A5" s="18"/>
      <c r="B5" s="19"/>
      <c r="C5" s="20"/>
      <c r="D5" s="18"/>
      <c r="E5" s="18"/>
      <c r="F5" s="18"/>
      <c r="G5" s="18"/>
      <c r="H5" s="18"/>
      <c r="I5" s="21"/>
      <c r="J5" s="53"/>
      <c r="K5" s="11"/>
    </row>
    <row r="6" spans="1:11" ht="15" thickBot="1">
      <c r="A6" s="15" t="s">
        <v>1</v>
      </c>
      <c r="B6" s="25" t="s">
        <v>31</v>
      </c>
      <c r="C6" s="22" t="s">
        <v>31</v>
      </c>
      <c r="D6" s="23" t="s">
        <v>33</v>
      </c>
      <c r="E6" s="15"/>
      <c r="F6" s="15"/>
      <c r="G6" s="15"/>
      <c r="H6" s="15"/>
      <c r="I6" s="17">
        <f>HLOOKUP(B$4,'Pump Prices'!D$2:I$43,4)</f>
        <v>0</v>
      </c>
      <c r="J6" s="67">
        <f>IF(B$6=C6,I6,"")</f>
        <v>0</v>
      </c>
      <c r="K6" s="11"/>
    </row>
    <row r="7" spans="1:11" ht="14.25">
      <c r="A7" s="15"/>
      <c r="B7" s="24"/>
      <c r="C7" s="22" t="s">
        <v>32</v>
      </c>
      <c r="D7" s="23" t="s">
        <v>34</v>
      </c>
      <c r="E7" s="15"/>
      <c r="F7" s="15"/>
      <c r="G7" s="15"/>
      <c r="H7" s="15"/>
      <c r="I7" s="17">
        <f>HLOOKUP(B$4,'Pump Prices'!D$2:I$43,5)</f>
        <v>43.64341711791804</v>
      </c>
      <c r="J7" s="52" t="str">
        <f>IF(B$6=C7,I7,"0")</f>
        <v>0</v>
      </c>
      <c r="K7" s="11"/>
    </row>
    <row r="8" spans="1:11" ht="9" customHeight="1" thickBot="1">
      <c r="A8" s="18"/>
      <c r="B8" s="19"/>
      <c r="C8" s="20"/>
      <c r="D8" s="18"/>
      <c r="E8" s="18"/>
      <c r="F8" s="18"/>
      <c r="G8" s="18"/>
      <c r="H8" s="18"/>
      <c r="I8" s="21"/>
      <c r="J8" s="53"/>
      <c r="K8" s="11"/>
    </row>
    <row r="9" spans="1:11" ht="15" thickBot="1">
      <c r="A9" s="104" t="s">
        <v>2</v>
      </c>
      <c r="B9" s="25" t="s">
        <v>51</v>
      </c>
      <c r="C9" s="22" t="s">
        <v>51</v>
      </c>
      <c r="D9" s="15" t="s">
        <v>3</v>
      </c>
      <c r="E9" s="15"/>
      <c r="F9" s="15"/>
      <c r="G9" s="15"/>
      <c r="H9" s="15"/>
      <c r="I9" s="17">
        <f>HLOOKUP(B$4,'Pump Prices'!D$2:I$43,7)</f>
        <v>0</v>
      </c>
      <c r="J9" s="67">
        <f>IF(B$9=C9,I9,"0")</f>
        <v>0</v>
      </c>
      <c r="K9" s="11"/>
    </row>
    <row r="10" spans="1:11" ht="14.25">
      <c r="A10" s="104"/>
      <c r="B10" s="26"/>
      <c r="C10" s="22" t="s">
        <v>46</v>
      </c>
      <c r="D10" s="23" t="s">
        <v>47</v>
      </c>
      <c r="E10" s="15"/>
      <c r="F10" s="15"/>
      <c r="G10" s="15"/>
      <c r="H10" s="15"/>
      <c r="I10" s="17" t="str">
        <f>HLOOKUP(B$4,'Pump Prices'!D$2:I$43,8)</f>
        <v>N/A</v>
      </c>
      <c r="J10" s="52" t="str">
        <f>IF(B$9=C10,I10,"0")</f>
        <v>0</v>
      </c>
      <c r="K10" s="11"/>
    </row>
    <row r="11" spans="1:11" ht="14.25">
      <c r="A11" s="104"/>
      <c r="B11" s="26"/>
      <c r="C11" s="22" t="s">
        <v>35</v>
      </c>
      <c r="D11" s="23" t="s">
        <v>37</v>
      </c>
      <c r="E11" s="15"/>
      <c r="F11" s="15"/>
      <c r="G11" s="15"/>
      <c r="H11" s="15"/>
      <c r="I11" s="17">
        <f>HLOOKUP(B$4,'Pump Prices'!D$2:I$43,9)</f>
        <v>0</v>
      </c>
      <c r="J11" s="52" t="str">
        <f>IF(B$9=C11,I11,"0")</f>
        <v>0</v>
      </c>
      <c r="K11" s="11"/>
    </row>
    <row r="12" spans="1:11" ht="14.25">
      <c r="A12" s="104"/>
      <c r="B12" s="27"/>
      <c r="C12" s="22" t="s">
        <v>52</v>
      </c>
      <c r="D12" s="15" t="s">
        <v>4</v>
      </c>
      <c r="E12" s="15"/>
      <c r="F12" s="15"/>
      <c r="G12" s="15"/>
      <c r="H12" s="15"/>
      <c r="I12" s="17">
        <f>HLOOKUP(B$4,'Pump Prices'!D$2:I$43,10)</f>
        <v>29.095611411945363</v>
      </c>
      <c r="J12" s="52" t="str">
        <f>IF(B$9=C12,I12,"0")</f>
        <v>0</v>
      </c>
      <c r="K12" s="11"/>
    </row>
    <row r="13" spans="1:11" ht="14.25">
      <c r="A13" s="35"/>
      <c r="B13" s="27"/>
      <c r="C13" s="22" t="s">
        <v>36</v>
      </c>
      <c r="D13" s="23" t="s">
        <v>38</v>
      </c>
      <c r="E13" s="15"/>
      <c r="F13" s="15"/>
      <c r="G13" s="15"/>
      <c r="H13" s="15"/>
      <c r="I13" s="17">
        <f>HLOOKUP(B$4,'Pump Prices'!D$2:I$43,11)</f>
        <v>43.34426265481388</v>
      </c>
      <c r="J13" s="52" t="str">
        <f>IF(B$9=C13,I13,"0")</f>
        <v>0</v>
      </c>
      <c r="K13" s="11"/>
    </row>
    <row r="14" spans="1:11" ht="6" customHeight="1" thickBot="1">
      <c r="A14" s="18"/>
      <c r="B14" s="19"/>
      <c r="C14" s="20"/>
      <c r="D14" s="18"/>
      <c r="E14" s="18"/>
      <c r="F14" s="18"/>
      <c r="G14" s="18"/>
      <c r="H14" s="18"/>
      <c r="I14" s="21"/>
      <c r="J14" s="53"/>
      <c r="K14" s="11"/>
    </row>
    <row r="15" spans="1:11" ht="15" thickBot="1">
      <c r="A15" s="15" t="s">
        <v>5</v>
      </c>
      <c r="B15" s="25">
        <v>1</v>
      </c>
      <c r="C15" s="22">
        <v>1</v>
      </c>
      <c r="D15" s="23" t="s">
        <v>39</v>
      </c>
      <c r="E15" s="15"/>
      <c r="F15" s="15"/>
      <c r="G15" s="15"/>
      <c r="H15" s="15"/>
      <c r="I15" s="17">
        <f>HLOOKUP(B$4,'Pump Prices'!D$2:I$43,13)</f>
        <v>0</v>
      </c>
      <c r="J15" s="67">
        <f>IF(B$15=C15,I15,"0")</f>
        <v>0</v>
      </c>
      <c r="K15" s="11"/>
    </row>
    <row r="16" spans="1:11" ht="14.25">
      <c r="A16" s="15"/>
      <c r="B16" s="24"/>
      <c r="C16" s="22">
        <v>6</v>
      </c>
      <c r="D16" s="23" t="s">
        <v>40</v>
      </c>
      <c r="E16" s="15"/>
      <c r="F16" s="15"/>
      <c r="G16" s="15"/>
      <c r="H16" s="15"/>
      <c r="I16" s="17">
        <f>HLOOKUP(B$4,'Pump Prices'!D$2:I$43,14)</f>
        <v>198.33508445809423</v>
      </c>
      <c r="J16" s="52" t="str">
        <f>IF(B$15=C16,I16,"0")</f>
        <v>0</v>
      </c>
      <c r="K16" s="11"/>
    </row>
    <row r="17" spans="1:11" ht="9" customHeight="1" thickBot="1">
      <c r="A17" s="18"/>
      <c r="B17" s="19"/>
      <c r="C17" s="20"/>
      <c r="D17" s="18"/>
      <c r="E17" s="18"/>
      <c r="F17" s="18"/>
      <c r="G17" s="18"/>
      <c r="H17" s="18"/>
      <c r="I17" s="21"/>
      <c r="J17" s="53"/>
      <c r="K17" s="11"/>
    </row>
    <row r="18" spans="1:11" ht="15" thickBot="1">
      <c r="A18" s="15" t="s">
        <v>6</v>
      </c>
      <c r="B18" s="25">
        <v>1</v>
      </c>
      <c r="C18" s="22">
        <v>1</v>
      </c>
      <c r="D18" s="15" t="s">
        <v>17</v>
      </c>
      <c r="E18" s="15"/>
      <c r="F18" s="15"/>
      <c r="G18" s="15"/>
      <c r="H18" s="15"/>
      <c r="I18" s="17">
        <f>HLOOKUP(B$4,'Pump Prices'!D$2:I$43,16)</f>
        <v>0</v>
      </c>
      <c r="J18" s="67">
        <f aca="true" t="shared" si="0" ref="J18:J24">IF(B$18=C18,I18,"0")</f>
        <v>0</v>
      </c>
      <c r="K18" s="11"/>
    </row>
    <row r="19" spans="1:11" ht="14.25">
      <c r="A19" s="15"/>
      <c r="B19" s="27"/>
      <c r="C19" s="22">
        <v>2</v>
      </c>
      <c r="D19" s="15" t="s">
        <v>18</v>
      </c>
      <c r="E19" s="15"/>
      <c r="F19" s="15"/>
      <c r="G19" s="15"/>
      <c r="H19" s="15"/>
      <c r="I19" s="17">
        <f>HLOOKUP(B$4,'Pump Prices'!D$2:I$43,17)</f>
        <v>7.273902852986341</v>
      </c>
      <c r="J19" s="52" t="str">
        <f t="shared" si="0"/>
        <v>0</v>
      </c>
      <c r="K19" s="11"/>
    </row>
    <row r="20" spans="1:11" ht="14.25">
      <c r="A20" s="15"/>
      <c r="B20" s="27"/>
      <c r="C20" s="22">
        <v>3</v>
      </c>
      <c r="D20" s="15" t="s">
        <v>19</v>
      </c>
      <c r="E20" s="15"/>
      <c r="F20" s="15"/>
      <c r="G20" s="15"/>
      <c r="H20" s="15"/>
      <c r="I20" s="17">
        <f>HLOOKUP(B$4,'Pump Prices'!D$2:I$43,18)</f>
        <v>12.123171421643901</v>
      </c>
      <c r="J20" s="52" t="str">
        <f t="shared" si="0"/>
        <v>0</v>
      </c>
      <c r="K20" s="11"/>
    </row>
    <row r="21" spans="1:11" ht="14.25">
      <c r="A21" s="15"/>
      <c r="B21" s="27"/>
      <c r="C21" s="22">
        <v>4</v>
      </c>
      <c r="D21" s="15" t="s">
        <v>60</v>
      </c>
      <c r="E21" s="15"/>
      <c r="F21" s="15"/>
      <c r="G21" s="15"/>
      <c r="H21" s="15"/>
      <c r="I21" s="17">
        <f>HLOOKUP(B$4,'Pump Prices'!D$2:I$43,19)</f>
        <v>332.1748969530429</v>
      </c>
      <c r="J21" s="52" t="str">
        <f t="shared" si="0"/>
        <v>0</v>
      </c>
      <c r="K21" s="11"/>
    </row>
    <row r="22" spans="1:11" ht="14.25">
      <c r="A22" s="15"/>
      <c r="B22" s="27"/>
      <c r="C22" s="22">
        <v>5</v>
      </c>
      <c r="D22" s="23" t="s">
        <v>41</v>
      </c>
      <c r="E22" s="15"/>
      <c r="F22" s="15"/>
      <c r="G22" s="15"/>
      <c r="H22" s="15"/>
      <c r="I22" s="17">
        <f>HLOOKUP(B$4,'Pump Prices'!D$2:I$43,20)</f>
        <v>43.158490261052286</v>
      </c>
      <c r="J22" s="52" t="str">
        <f t="shared" si="0"/>
        <v>0</v>
      </c>
      <c r="K22" s="11"/>
    </row>
    <row r="23" spans="1:11" ht="14.25">
      <c r="A23" s="15"/>
      <c r="B23" s="27"/>
      <c r="C23" s="22">
        <v>6</v>
      </c>
      <c r="D23" s="23" t="s">
        <v>67</v>
      </c>
      <c r="E23" s="15"/>
      <c r="F23" s="15"/>
      <c r="G23" s="15"/>
      <c r="H23" s="15"/>
      <c r="I23" s="17">
        <f>HLOOKUP(B$4,'Pump Prices'!D$2:I$43,21)</f>
        <v>33.94487998060292</v>
      </c>
      <c r="J23" s="52" t="str">
        <f t="shared" si="0"/>
        <v>0</v>
      </c>
      <c r="K23" s="11"/>
    </row>
    <row r="24" spans="1:11" ht="14.25">
      <c r="A24" s="15"/>
      <c r="B24" s="27"/>
      <c r="C24" s="22">
        <v>9</v>
      </c>
      <c r="D24" s="23" t="s">
        <v>59</v>
      </c>
      <c r="E24" s="15"/>
      <c r="F24" s="15"/>
      <c r="G24" s="15"/>
      <c r="H24" s="15"/>
      <c r="I24" s="17">
        <f>HLOOKUP(B$4,'Pump Prices'!D$2:I$43,22)</f>
        <v>7.273902852986341</v>
      </c>
      <c r="J24" s="52" t="str">
        <f t="shared" si="0"/>
        <v>0</v>
      </c>
      <c r="K24" s="11"/>
    </row>
    <row r="25" spans="1:11" ht="9" customHeight="1" thickBot="1">
      <c r="A25" s="18"/>
      <c r="B25" s="19"/>
      <c r="C25" s="28"/>
      <c r="D25" s="18"/>
      <c r="E25" s="18"/>
      <c r="F25" s="18"/>
      <c r="G25" s="18"/>
      <c r="H25" s="18"/>
      <c r="I25" s="21"/>
      <c r="J25" s="53"/>
      <c r="K25" s="11"/>
    </row>
    <row r="26" spans="1:11" ht="15" thickBot="1">
      <c r="A26" s="42" t="s">
        <v>8</v>
      </c>
      <c r="B26" s="25">
        <v>3</v>
      </c>
      <c r="C26" s="22">
        <v>1</v>
      </c>
      <c r="D26" s="15" t="s">
        <v>20</v>
      </c>
      <c r="E26" s="15"/>
      <c r="F26" s="15"/>
      <c r="G26" s="15"/>
      <c r="H26" s="15"/>
      <c r="I26" s="17">
        <f>HLOOKUP(B$4,'Pump Prices'!D$2:I$43,24)</f>
        <v>113.95781136345268</v>
      </c>
      <c r="J26" s="52" t="str">
        <f>IF(B$26=C26,I26,"0")</f>
        <v>0</v>
      </c>
      <c r="K26" s="11"/>
    </row>
    <row r="27" spans="1:11" ht="14.25">
      <c r="A27" s="42"/>
      <c r="B27" s="27"/>
      <c r="C27" s="22">
        <v>2</v>
      </c>
      <c r="D27" s="15" t="s">
        <v>21</v>
      </c>
      <c r="E27" s="15"/>
      <c r="F27" s="15"/>
      <c r="G27" s="15"/>
      <c r="H27" s="15"/>
      <c r="I27" s="17">
        <f>HLOOKUP(B$4,'Pump Prices'!D$2:I$43,25)</f>
        <v>113.95781136345268</v>
      </c>
      <c r="J27" s="52" t="str">
        <f>IF(B$26=C27,I27,"0")</f>
        <v>0</v>
      </c>
      <c r="K27" s="11"/>
    </row>
    <row r="28" spans="1:11" ht="14.25">
      <c r="A28" s="15"/>
      <c r="B28" s="27"/>
      <c r="C28" s="22">
        <v>3</v>
      </c>
      <c r="D28" s="15" t="s">
        <v>22</v>
      </c>
      <c r="E28" s="15"/>
      <c r="F28" s="15"/>
      <c r="G28" s="15"/>
      <c r="H28" s="15"/>
      <c r="I28" s="17">
        <f>HLOOKUP(B$4,'Pump Prices'!D$2:I$43,26)</f>
        <v>0</v>
      </c>
      <c r="J28" s="67">
        <f>IF(B$26=C28,I28,"0")</f>
        <v>0</v>
      </c>
      <c r="K28" s="11"/>
    </row>
    <row r="29" spans="1:11" ht="14.25">
      <c r="A29" s="15"/>
      <c r="B29" s="27"/>
      <c r="C29" s="22">
        <v>4</v>
      </c>
      <c r="D29" s="15" t="s">
        <v>23</v>
      </c>
      <c r="E29" s="15"/>
      <c r="F29" s="15"/>
      <c r="G29" s="15"/>
      <c r="H29" s="15"/>
      <c r="I29" s="17">
        <f>HLOOKUP(B$4,'Pump Prices'!D$2:I$43,27)</f>
        <v>0</v>
      </c>
      <c r="J29" s="52" t="str">
        <f>IF(B$26=C29,I29,"0")</f>
        <v>0</v>
      </c>
      <c r="K29" s="11"/>
    </row>
    <row r="30" spans="1:11" ht="9" customHeight="1" thickBot="1">
      <c r="A30" s="18"/>
      <c r="B30" s="19"/>
      <c r="C30" s="28"/>
      <c r="D30" s="18"/>
      <c r="E30" s="18"/>
      <c r="F30" s="18"/>
      <c r="G30" s="18"/>
      <c r="H30" s="18"/>
      <c r="I30" s="21"/>
      <c r="J30" s="53"/>
      <c r="K30" s="11"/>
    </row>
    <row r="31" spans="1:11" ht="15" thickBot="1">
      <c r="A31" s="15" t="s">
        <v>7</v>
      </c>
      <c r="B31" s="25">
        <v>1</v>
      </c>
      <c r="C31" s="22">
        <v>1</v>
      </c>
      <c r="D31" s="15" t="s">
        <v>24</v>
      </c>
      <c r="E31" s="15"/>
      <c r="F31" s="15"/>
      <c r="G31" s="15"/>
      <c r="H31" s="15"/>
      <c r="I31" s="17">
        <f>HLOOKUP(B$4,'Pump Prices'!D$2:I$43,29)</f>
        <v>0</v>
      </c>
      <c r="J31" s="67">
        <f>IF(B$31=C31,I31,"0")</f>
        <v>0</v>
      </c>
      <c r="K31" s="11"/>
    </row>
    <row r="32" spans="1:11" ht="14.25">
      <c r="A32" s="15"/>
      <c r="B32" s="27"/>
      <c r="C32" s="22">
        <v>2</v>
      </c>
      <c r="D32" s="15" t="s">
        <v>25</v>
      </c>
      <c r="E32" s="15"/>
      <c r="F32" s="15"/>
      <c r="G32" s="15"/>
      <c r="H32" s="15"/>
      <c r="I32" s="17">
        <f>HLOOKUP(B$4,'Pump Prices'!D$2:I$43,30)</f>
        <v>48.97761254344136</v>
      </c>
      <c r="J32" s="52" t="str">
        <f>IF(B$31=C32,I32,"0")</f>
        <v>0</v>
      </c>
      <c r="K32" s="11"/>
    </row>
    <row r="33" spans="1:11" ht="14.25">
      <c r="A33" s="15"/>
      <c r="B33" s="27"/>
      <c r="C33" s="22">
        <v>3</v>
      </c>
      <c r="D33" s="15" t="s">
        <v>26</v>
      </c>
      <c r="E33" s="15"/>
      <c r="F33" s="15"/>
      <c r="G33" s="15"/>
      <c r="H33" s="15"/>
      <c r="I33" s="17">
        <f>HLOOKUP(B$4,'Pump Prices'!D$2:I$43,31)</f>
        <v>48.97761254344136</v>
      </c>
      <c r="J33" s="52" t="str">
        <f>IF(B$31=C33,I33,"0")</f>
        <v>0</v>
      </c>
      <c r="K33" s="11"/>
    </row>
    <row r="34" spans="1:11" ht="14.25">
      <c r="A34" s="15"/>
      <c r="B34" s="27"/>
      <c r="C34" s="22">
        <v>6</v>
      </c>
      <c r="D34" s="15" t="s">
        <v>27</v>
      </c>
      <c r="E34" s="15"/>
      <c r="F34" s="15"/>
      <c r="G34" s="15"/>
      <c r="H34" s="15"/>
      <c r="I34" s="17">
        <f>HLOOKUP(B$4,'Pump Prices'!D$2:I$43,32)</f>
        <v>48.97761254344136</v>
      </c>
      <c r="J34" s="52" t="str">
        <f>IF(B$31=C34,I34,"0")</f>
        <v>0</v>
      </c>
      <c r="K34" s="11"/>
    </row>
    <row r="35" spans="1:11" ht="9" customHeight="1" thickBot="1">
      <c r="A35" s="29"/>
      <c r="B35" s="30"/>
      <c r="C35" s="31"/>
      <c r="D35" s="29"/>
      <c r="E35" s="29"/>
      <c r="F35" s="29"/>
      <c r="G35" s="30"/>
      <c r="H35" s="29"/>
      <c r="I35" s="21"/>
      <c r="J35" s="66"/>
      <c r="K35" s="12"/>
    </row>
    <row r="36" spans="1:11" s="7" customFormat="1" ht="15" thickBot="1">
      <c r="A36" s="15" t="s">
        <v>42</v>
      </c>
      <c r="B36" s="25"/>
      <c r="C36" s="22">
        <v>0</v>
      </c>
      <c r="D36" s="23" t="s">
        <v>66</v>
      </c>
      <c r="E36" s="15"/>
      <c r="F36" s="15"/>
      <c r="G36" s="15"/>
      <c r="H36" s="15"/>
      <c r="I36" s="17" t="str">
        <f>IF(B$15=1,"N/A",HLOOKUP(B$4,'Pump Prices'!D$2:I$43,34))</f>
        <v>N/A</v>
      </c>
      <c r="J36" s="52" t="str">
        <f aca="true" t="shared" si="1" ref="J36:J41">IF(B$36=C36,I36,"")</f>
        <v>N/A</v>
      </c>
      <c r="K36" s="11"/>
    </row>
    <row r="37" spans="1:11" s="7" customFormat="1" ht="15" customHeight="1">
      <c r="A37" s="102">
        <f>IF(AND(B36&gt;0,B15=1),"ERROR: Pedestal Pump can not have bracket","")</f>
      </c>
      <c r="B37" s="102"/>
      <c r="C37" s="22">
        <v>2</v>
      </c>
      <c r="D37" s="23" t="s">
        <v>64</v>
      </c>
      <c r="E37" s="15"/>
      <c r="F37" s="15"/>
      <c r="G37" s="15"/>
      <c r="H37" s="15"/>
      <c r="I37" s="17" t="str">
        <f>IF(B$15=1,"N/A",HLOOKUP(B$4,'Pump Prices'!D$2:I$43,35))</f>
        <v>N/A</v>
      </c>
      <c r="J37" s="52">
        <f t="shared" si="1"/>
      </c>
      <c r="K37" s="11"/>
    </row>
    <row r="38" spans="1:11" s="7" customFormat="1" ht="14.25">
      <c r="A38" s="102"/>
      <c r="B38" s="102"/>
      <c r="C38" s="22">
        <v>3</v>
      </c>
      <c r="D38" s="23" t="s">
        <v>48</v>
      </c>
      <c r="E38" s="15"/>
      <c r="F38" s="15"/>
      <c r="G38" s="15"/>
      <c r="H38" s="15"/>
      <c r="I38" s="17" t="str">
        <f>IF(B$15=1,"N/A",HLOOKUP(B$4,'Pump Prices'!D$2:I$43,36))</f>
        <v>N/A</v>
      </c>
      <c r="J38" s="52">
        <f t="shared" si="1"/>
      </c>
      <c r="K38" s="11"/>
    </row>
    <row r="39" spans="1:11" s="7" customFormat="1" ht="14.25">
      <c r="A39" s="102"/>
      <c r="B39" s="102"/>
      <c r="C39" s="22">
        <v>4</v>
      </c>
      <c r="D39" s="23" t="s">
        <v>48</v>
      </c>
      <c r="E39" s="15"/>
      <c r="F39" s="15"/>
      <c r="G39" s="15"/>
      <c r="H39" s="15"/>
      <c r="I39" s="17" t="str">
        <f>IF(B$15=1,"N/A",HLOOKUP(B$4,'Pump Prices'!D$2:I$43,37))</f>
        <v>N/A</v>
      </c>
      <c r="J39" s="52">
        <f t="shared" si="1"/>
      </c>
      <c r="K39" s="11"/>
    </row>
    <row r="40" spans="1:11" s="7" customFormat="1" ht="16.5" customHeight="1">
      <c r="A40" s="15"/>
      <c r="B40" s="27"/>
      <c r="C40" s="22">
        <v>5</v>
      </c>
      <c r="D40" s="23" t="s">
        <v>48</v>
      </c>
      <c r="E40" s="15"/>
      <c r="F40" s="15"/>
      <c r="G40" s="15"/>
      <c r="H40" s="15"/>
      <c r="I40" s="17" t="str">
        <f>IF(B$15=1,"N/A",HLOOKUP(B$4,'Pump Prices'!D$2:I$43,38))</f>
        <v>N/A</v>
      </c>
      <c r="J40" s="52">
        <f t="shared" si="1"/>
      </c>
      <c r="K40" s="11"/>
    </row>
    <row r="41" spans="1:11" s="7" customFormat="1" ht="12.75" customHeight="1">
      <c r="A41" s="15"/>
      <c r="B41" s="27"/>
      <c r="C41" s="22">
        <v>6</v>
      </c>
      <c r="D41" s="23" t="s">
        <v>65</v>
      </c>
      <c r="E41" s="15"/>
      <c r="F41" s="15"/>
      <c r="G41" s="15"/>
      <c r="H41" s="15"/>
      <c r="I41" s="17" t="str">
        <f>IF(B$15=1,"N/A",HLOOKUP(B$4,'Pump Prices'!D$2:I$43,39))</f>
        <v>N/A</v>
      </c>
      <c r="J41" s="52">
        <f t="shared" si="1"/>
      </c>
      <c r="K41" s="11"/>
    </row>
    <row r="42" spans="1:11" s="7" customFormat="1" ht="17.25" customHeight="1" thickBot="1">
      <c r="A42" s="18"/>
      <c r="B42" s="19"/>
      <c r="C42" s="20"/>
      <c r="D42" s="39"/>
      <c r="E42" s="18"/>
      <c r="F42" s="18"/>
      <c r="G42" s="18"/>
      <c r="H42" s="18"/>
      <c r="I42" s="21"/>
      <c r="J42" s="44"/>
      <c r="K42" s="11"/>
    </row>
    <row r="43" spans="1:11" s="7" customFormat="1" ht="15" thickBot="1">
      <c r="A43" s="15" t="s">
        <v>43</v>
      </c>
      <c r="B43" s="34" t="s">
        <v>49</v>
      </c>
      <c r="C43" s="22"/>
      <c r="D43" s="15" t="s">
        <v>44</v>
      </c>
      <c r="E43" s="15"/>
      <c r="F43" s="15"/>
      <c r="G43" s="15"/>
      <c r="H43" s="15"/>
      <c r="I43" s="17">
        <f>HLOOKUP(B$4,'Pump Prices'!D$2:I$43,41)</f>
        <v>291.44104097631936</v>
      </c>
      <c r="J43" s="52" t="str">
        <f>IF(B43="Yes",I43,"N/A")</f>
        <v>N/A</v>
      </c>
      <c r="K43" s="11"/>
    </row>
    <row r="44" spans="1:11" s="7" customFormat="1" ht="15" thickBot="1">
      <c r="A44" s="15"/>
      <c r="B44" s="34" t="s">
        <v>49</v>
      </c>
      <c r="C44" s="22"/>
      <c r="D44" s="15" t="s">
        <v>45</v>
      </c>
      <c r="E44" s="15"/>
      <c r="F44" s="15"/>
      <c r="G44" s="15"/>
      <c r="H44" s="15"/>
      <c r="I44" s="17">
        <f>HLOOKUP(B$4,'Pump Prices'!D$2:I$43,42)</f>
        <v>216.76230501899295</v>
      </c>
      <c r="J44" s="52" t="str">
        <f>IF(B44="Yes",I44,"N/A")</f>
        <v>N/A</v>
      </c>
      <c r="K44" s="11"/>
    </row>
    <row r="45" spans="1:11" ht="24.75" customHeight="1" thickBot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1"/>
    </row>
    <row r="46" spans="1:11" ht="15" thickBot="1" thickTop="1">
      <c r="A46" s="45"/>
      <c r="B46" s="46"/>
      <c r="C46" s="47"/>
      <c r="D46" s="46"/>
      <c r="E46" s="46"/>
      <c r="F46" s="46"/>
      <c r="G46" s="46"/>
      <c r="H46" s="46"/>
      <c r="I46" s="48"/>
      <c r="J46" s="65"/>
      <c r="K46" s="83"/>
    </row>
    <row r="47" spans="1:11" ht="15" thickTop="1">
      <c r="A47" s="98" t="s">
        <v>30</v>
      </c>
      <c r="B47" s="97" t="str">
        <f>IF(B4=3,"03",IF(B4=5,"05",B4))</f>
        <v>03</v>
      </c>
      <c r="C47" s="93" t="str">
        <f>B6</f>
        <v>G</v>
      </c>
      <c r="D47" s="100" t="str">
        <f>B9</f>
        <v>B</v>
      </c>
      <c r="E47" s="97">
        <f>B15</f>
        <v>1</v>
      </c>
      <c r="F47" s="100">
        <f>B18</f>
        <v>1</v>
      </c>
      <c r="G47" s="97">
        <f>B26</f>
        <v>3</v>
      </c>
      <c r="H47" s="93">
        <f>B31</f>
        <v>1</v>
      </c>
      <c r="I47" s="107" t="str">
        <f>IF(B15=6,B36," ")</f>
        <v> </v>
      </c>
      <c r="J47" s="95" t="str">
        <f>IF(B43="Yes","-C"," ")</f>
        <v> </v>
      </c>
      <c r="K47" s="90"/>
    </row>
    <row r="48" spans="1:11" ht="15" thickBot="1">
      <c r="A48" s="99"/>
      <c r="B48" s="96"/>
      <c r="C48" s="94"/>
      <c r="D48" s="101"/>
      <c r="E48" s="96"/>
      <c r="F48" s="101"/>
      <c r="G48" s="96"/>
      <c r="H48" s="94"/>
      <c r="I48" s="108"/>
      <c r="J48" s="96"/>
      <c r="K48" s="91"/>
    </row>
    <row r="49" spans="1:11" ht="15" thickBot="1" thickTop="1">
      <c r="A49" s="99"/>
      <c r="B49" s="4" t="s">
        <v>10</v>
      </c>
      <c r="C49" s="5" t="s">
        <v>11</v>
      </c>
      <c r="D49" s="6" t="s">
        <v>12</v>
      </c>
      <c r="E49" s="5" t="s">
        <v>13</v>
      </c>
      <c r="F49" s="5" t="s">
        <v>14</v>
      </c>
      <c r="G49" s="5" t="s">
        <v>15</v>
      </c>
      <c r="H49" s="5" t="s">
        <v>16</v>
      </c>
      <c r="I49" s="51" t="s">
        <v>54</v>
      </c>
      <c r="J49" s="51" t="s">
        <v>55</v>
      </c>
      <c r="K49" s="4"/>
    </row>
    <row r="50" spans="1:11" ht="15" thickBot="1" thickTop="1">
      <c r="A50" s="45"/>
      <c r="B50" s="49"/>
      <c r="C50" s="50"/>
      <c r="D50" s="49"/>
      <c r="E50" s="49"/>
      <c r="F50" s="49"/>
      <c r="G50" s="49"/>
      <c r="H50" s="49"/>
      <c r="I50" s="71"/>
      <c r="J50" s="72" t="s">
        <v>69</v>
      </c>
      <c r="K50" s="77">
        <f>SUM(J4:J44)</f>
        <v>421.8863654732078</v>
      </c>
    </row>
    <row r="51" spans="1:11" ht="15" thickBot="1" thickTop="1">
      <c r="A51" s="45"/>
      <c r="B51" s="49"/>
      <c r="C51" s="50"/>
      <c r="D51" s="49"/>
      <c r="E51" s="49"/>
      <c r="F51" s="49"/>
      <c r="G51" s="49"/>
      <c r="H51" s="49"/>
      <c r="I51" s="59"/>
      <c r="J51" s="61"/>
      <c r="K51" s="62"/>
    </row>
    <row r="52" spans="1:11" ht="15" thickBot="1">
      <c r="A52" s="57" t="s">
        <v>61</v>
      </c>
      <c r="B52" s="54" t="str">
        <f>C47</f>
        <v>G</v>
      </c>
      <c r="C52" s="55" t="str">
        <f>B47</f>
        <v>03</v>
      </c>
      <c r="D52" s="54" t="str">
        <f>"- SK -"</f>
        <v>- SK -</v>
      </c>
      <c r="E52" s="55" t="str">
        <f>D47&amp;0</f>
        <v>B0</v>
      </c>
      <c r="F52" s="54" t="str">
        <f>F47&amp;0</f>
        <v>10</v>
      </c>
      <c r="G52" s="56">
        <f>H47</f>
        <v>1</v>
      </c>
      <c r="H52" s="64" t="str">
        <f>IF(B43="YES","-C"," ")</f>
        <v> </v>
      </c>
      <c r="I52" s="60"/>
      <c r="J52" s="63"/>
      <c r="K52" s="76"/>
    </row>
    <row r="53" spans="1:11" ht="14.25">
      <c r="A53" s="58" t="s">
        <v>68</v>
      </c>
      <c r="B53" s="73">
        <f>((J4+J7)*0.5)+SUM(J9:J13)+SUM(J18:J24)+SUM(J31:J34)+SUM(J43:J44)</f>
        <v>210.9431827366039</v>
      </c>
      <c r="C53" s="3"/>
      <c r="D53" s="3"/>
      <c r="E53" s="3"/>
      <c r="F53" s="3"/>
      <c r="G53" s="3"/>
      <c r="H53" s="3"/>
      <c r="I53" s="10"/>
      <c r="J53" s="32"/>
      <c r="K53" s="3"/>
    </row>
    <row r="54" spans="1:11" ht="14.25">
      <c r="A54" s="9"/>
      <c r="B54" s="3"/>
      <c r="C54" s="3"/>
      <c r="D54" s="3"/>
      <c r="E54" s="3"/>
      <c r="F54" s="3"/>
      <c r="G54" s="3"/>
      <c r="H54" s="3"/>
      <c r="I54" s="10"/>
      <c r="J54" s="32"/>
      <c r="K54" s="3"/>
    </row>
    <row r="55" spans="1:11" ht="14.25">
      <c r="A55" s="92" t="s">
        <v>72</v>
      </c>
      <c r="B55" s="92"/>
      <c r="C55" s="92"/>
      <c r="D55" s="92"/>
      <c r="E55" s="92"/>
      <c r="F55" s="92"/>
      <c r="G55" s="92"/>
      <c r="H55" s="92"/>
      <c r="I55" s="92"/>
      <c r="J55" s="92"/>
      <c r="K55" s="33"/>
    </row>
    <row r="56" spans="1:11" ht="14.25">
      <c r="A56" s="92" t="s">
        <v>28</v>
      </c>
      <c r="B56" s="92"/>
      <c r="C56" s="92"/>
      <c r="D56" s="92"/>
      <c r="E56" s="92"/>
      <c r="F56" s="92"/>
      <c r="G56" s="92"/>
      <c r="H56" s="92"/>
      <c r="I56" s="92"/>
      <c r="J56" s="92"/>
      <c r="K56" s="33"/>
    </row>
    <row r="57" spans="2:10" ht="14.25">
      <c r="B57" s="111" t="s">
        <v>0</v>
      </c>
      <c r="C57" s="111"/>
      <c r="D57" s="109">
        <f>B4</f>
        <v>3</v>
      </c>
      <c r="E57" s="110"/>
      <c r="F57" s="110"/>
      <c r="G57" s="111"/>
      <c r="H57" s="111"/>
      <c r="I57" s="68"/>
      <c r="J57" s="70">
        <f>J4</f>
        <v>421.8863654732078</v>
      </c>
    </row>
    <row r="58" spans="2:10" ht="14.25">
      <c r="B58" s="111" t="s">
        <v>1</v>
      </c>
      <c r="C58" s="111"/>
      <c r="D58" s="112" t="str">
        <f>VLOOKUP(B6,C6:D7,2,FALSE)</f>
        <v>Pressures to 250 PSI</v>
      </c>
      <c r="E58" s="112"/>
      <c r="F58" s="112"/>
      <c r="G58" s="112"/>
      <c r="H58" s="112"/>
      <c r="I58" s="68"/>
      <c r="J58" s="75" t="str">
        <f>IF(TEXT(VLOOKUP(B6,C6:I7,7,FALSE),"$#")="$","$0",TEXT(VLOOKUP(B6,C6:I7,7,FALSE),"$#"))</f>
        <v>$0</v>
      </c>
    </row>
    <row r="59" spans="2:10" ht="14.25">
      <c r="B59" s="111" t="s">
        <v>2</v>
      </c>
      <c r="C59" s="111"/>
      <c r="D59" s="111" t="str">
        <f>VLOOKUP(B9,C9:D13,2,FALSE)</f>
        <v>Bronze Bearing</v>
      </c>
      <c r="E59" s="111"/>
      <c r="F59" s="111"/>
      <c r="G59" s="111"/>
      <c r="H59" s="111"/>
      <c r="I59" s="68"/>
      <c r="J59" s="75" t="str">
        <f>IF(TEXT((VLOOKUP(B9,C9:I13,7,FALSE)),"$#")="$","$0",TEXT((VLOOKUP(B9,C9:I13,7,FALSE)),"$#"))</f>
        <v>$0</v>
      </c>
    </row>
    <row r="60" spans="2:16" ht="14.25">
      <c r="B60" s="111" t="s">
        <v>5</v>
      </c>
      <c r="C60" s="111"/>
      <c r="D60" s="69" t="str">
        <f>IF(B15=1,D15,D16)</f>
        <v>Pedestal Pump</v>
      </c>
      <c r="E60" s="69"/>
      <c r="F60" s="69"/>
      <c r="G60" s="69"/>
      <c r="H60" s="69"/>
      <c r="I60" s="68"/>
      <c r="J60" s="70">
        <f>IF(B15=1,I15,I16)</f>
        <v>0</v>
      </c>
      <c r="L60" s="111"/>
      <c r="M60" s="111"/>
      <c r="N60" s="109"/>
      <c r="O60" s="110"/>
      <c r="P60" s="110"/>
    </row>
    <row r="61" spans="2:16" ht="14.25">
      <c r="B61" s="111" t="s">
        <v>6</v>
      </c>
      <c r="C61" s="111"/>
      <c r="D61" s="111" t="str">
        <f>VLOOKUP(B18,C18:D24,2,FALSE)</f>
        <v>Mechanical – BUNA ‘N’</v>
      </c>
      <c r="E61" s="111"/>
      <c r="F61" s="111"/>
      <c r="G61" s="111"/>
      <c r="H61" s="111"/>
      <c r="I61" s="68"/>
      <c r="J61" s="75" t="str">
        <f>IF(TEXT((VLOOKUP(B18,C18:I25,7,FALSE)),"$#")="$","$0",TEXT((VLOOKUP(B18,C18:I25,7,FALSE)),"$#"))</f>
        <v>$0</v>
      </c>
      <c r="L61" s="111"/>
      <c r="M61" s="111"/>
      <c r="N61" s="112"/>
      <c r="O61" s="112"/>
      <c r="P61" s="112"/>
    </row>
    <row r="62" spans="2:16" ht="14.25">
      <c r="B62" s="111" t="s">
        <v>62</v>
      </c>
      <c r="C62" s="111"/>
      <c r="D62" s="111" t="str">
        <f>VLOOKUP(B26,C26:D29,2,FALSE)</f>
        <v>Clock Wise (C.W) Rotation ONLY</v>
      </c>
      <c r="E62" s="111"/>
      <c r="F62" s="111"/>
      <c r="G62" s="111"/>
      <c r="H62" s="111"/>
      <c r="I62" s="68"/>
      <c r="J62" s="75" t="str">
        <f>IF(TEXT(VLOOKUP(B26,C26:I29,7,FALSE),"$#")="$","$0",TEXT(VLOOKUP(B26,C26:I29,7,FALSE),"$#"))</f>
        <v>$0</v>
      </c>
      <c r="L62" s="111"/>
      <c r="M62" s="111"/>
      <c r="N62" s="111"/>
      <c r="O62" s="111"/>
      <c r="P62" s="111"/>
    </row>
    <row r="63" spans="2:16" ht="14.25">
      <c r="B63" s="111" t="s">
        <v>7</v>
      </c>
      <c r="C63" s="111"/>
      <c r="D63" s="111" t="str">
        <f>VLOOKUP(B31,C31:D34,2,FALSE)</f>
        <v>30 SSU – 10,000 SSU</v>
      </c>
      <c r="E63" s="111"/>
      <c r="F63" s="111"/>
      <c r="G63" s="111"/>
      <c r="H63" s="111"/>
      <c r="I63" s="68"/>
      <c r="J63" s="75" t="str">
        <f>IF(TEXT(VLOOKUP(B31,C31:I35,7,FALSE),"$#")="$","$0",TEXT(VLOOKUP(B31,C31:I35,7,FALSE),"$#"))</f>
        <v>$0</v>
      </c>
      <c r="L63" s="111"/>
      <c r="M63" s="111"/>
      <c r="N63" s="111"/>
      <c r="O63" s="111"/>
      <c r="P63" s="111"/>
    </row>
    <row r="64" spans="2:16" ht="14.25">
      <c r="B64" s="111" t="s">
        <v>42</v>
      </c>
      <c r="C64" s="111"/>
      <c r="D64" s="111" t="str">
        <f>VLOOKUP(B36,C36:D41,2,FALSE)</f>
        <v>Less Bracket(Close Coupled only)</v>
      </c>
      <c r="E64" s="111"/>
      <c r="F64" s="111"/>
      <c r="G64" s="111"/>
      <c r="H64" s="111"/>
      <c r="I64" s="68"/>
      <c r="J64" s="75" t="str">
        <f>TEXT(VLOOKUP(B36,C36:I41,7,FALSE),"$#")</f>
        <v>N/A</v>
      </c>
      <c r="L64" s="111"/>
      <c r="M64" s="111"/>
      <c r="N64" s="111"/>
      <c r="O64" s="111"/>
      <c r="P64" s="111"/>
    </row>
    <row r="65" spans="2:16" ht="14.25">
      <c r="B65" s="111" t="s">
        <v>43</v>
      </c>
      <c r="C65" s="111"/>
      <c r="D65" s="111" t="str">
        <f>IF(AND(B43="yes",B44="yes"),CONCATENATE(D43,", ",D44),IF(B43="yes",D43,IF(B44="yes",D44,"None")))</f>
        <v>None</v>
      </c>
      <c r="E65" s="111"/>
      <c r="F65" s="111"/>
      <c r="G65" s="111"/>
      <c r="H65" s="111"/>
      <c r="I65" s="68"/>
      <c r="J65" s="75" t="str">
        <f>IF(TEXT(IF(AND(B43="yes",B44="yes"),SUM(I43,I44),IF(B43="yes",I43,IF(B44="yes",I44,0))),"$#")="$","$0",TEXT(IF(AND(B43="yes",B44="yes"),SUM(I43,I44),IF(B43="yes",I43,IF(B44="yes",I44,0))),"$#"))</f>
        <v>$0</v>
      </c>
      <c r="L65" s="111"/>
      <c r="M65" s="111"/>
      <c r="N65" s="111"/>
      <c r="O65" s="111"/>
      <c r="P65" s="111"/>
    </row>
    <row r="66" spans="2:16" ht="14.25">
      <c r="B66" s="111" t="s">
        <v>63</v>
      </c>
      <c r="C66" s="111"/>
      <c r="D66" s="113" t="str">
        <f>CONCATENATE(B47,C47,D47,E47,F47,G47,H47,I47,J47)</f>
        <v>03GB1131  </v>
      </c>
      <c r="E66" s="113"/>
      <c r="F66" s="113"/>
      <c r="G66" s="113"/>
      <c r="H66" s="113"/>
      <c r="I66" s="68"/>
      <c r="J66" s="70">
        <f>K50</f>
        <v>421.8863654732078</v>
      </c>
      <c r="L66" s="111"/>
      <c r="M66" s="111"/>
      <c r="N66" s="111"/>
      <c r="O66" s="111"/>
      <c r="P66" s="111"/>
    </row>
    <row r="67" spans="7:16" ht="14.25">
      <c r="G67" s="114" t="s">
        <v>70</v>
      </c>
      <c r="H67" s="114"/>
      <c r="I67" s="70">
        <f>J66</f>
        <v>421.8863654732078</v>
      </c>
      <c r="J67" s="68"/>
      <c r="L67" s="111"/>
      <c r="M67" s="111"/>
      <c r="N67" s="111"/>
      <c r="O67" s="111"/>
      <c r="P67" s="111"/>
    </row>
    <row r="68" spans="12:16" ht="14.25">
      <c r="L68" s="111"/>
      <c r="M68" s="111"/>
      <c r="N68" s="111"/>
      <c r="O68" s="111"/>
      <c r="P68" s="111"/>
    </row>
  </sheetData>
  <sheetProtection selectLockedCells="1"/>
  <mergeCells count="55">
    <mergeCell ref="B60:C60"/>
    <mergeCell ref="D66:H66"/>
    <mergeCell ref="B63:C63"/>
    <mergeCell ref="G67:H67"/>
    <mergeCell ref="L67:M67"/>
    <mergeCell ref="N67:P67"/>
    <mergeCell ref="D63:H63"/>
    <mergeCell ref="D61:H61"/>
    <mergeCell ref="B61:C61"/>
    <mergeCell ref="B62:C62"/>
    <mergeCell ref="D59:H59"/>
    <mergeCell ref="D58:H58"/>
    <mergeCell ref="L68:M68"/>
    <mergeCell ref="N68:P68"/>
    <mergeCell ref="D57:H57"/>
    <mergeCell ref="B66:C66"/>
    <mergeCell ref="D62:H62"/>
    <mergeCell ref="D65:H65"/>
    <mergeCell ref="B64:C64"/>
    <mergeCell ref="B57:C57"/>
    <mergeCell ref="B59:C59"/>
    <mergeCell ref="B58:C58"/>
    <mergeCell ref="L66:M66"/>
    <mergeCell ref="N66:P66"/>
    <mergeCell ref="L65:M65"/>
    <mergeCell ref="N65:P65"/>
    <mergeCell ref="B65:C65"/>
    <mergeCell ref="D64:H64"/>
    <mergeCell ref="L60:M60"/>
    <mergeCell ref="N64:P64"/>
    <mergeCell ref="N60:P60"/>
    <mergeCell ref="L61:M61"/>
    <mergeCell ref="N61:P61"/>
    <mergeCell ref="L62:M62"/>
    <mergeCell ref="N62:P62"/>
    <mergeCell ref="L64:M64"/>
    <mergeCell ref="L63:M63"/>
    <mergeCell ref="N63:P63"/>
    <mergeCell ref="A37:B39"/>
    <mergeCell ref="B3:C3"/>
    <mergeCell ref="A9:A12"/>
    <mergeCell ref="F47:F48"/>
    <mergeCell ref="A45:J45"/>
    <mergeCell ref="I47:I48"/>
    <mergeCell ref="E47:E48"/>
    <mergeCell ref="K47:K48"/>
    <mergeCell ref="A55:J55"/>
    <mergeCell ref="A56:J56"/>
    <mergeCell ref="H47:H48"/>
    <mergeCell ref="J47:J48"/>
    <mergeCell ref="G47:G48"/>
    <mergeCell ref="A47:A49"/>
    <mergeCell ref="B47:B48"/>
    <mergeCell ref="C47:C48"/>
    <mergeCell ref="D47:D48"/>
  </mergeCells>
  <dataValidations count="11">
    <dataValidation type="list" allowBlank="1" showInputMessage="1" showErrorMessage="1" sqref="B43:B44">
      <formula1>"No,Yes"</formula1>
    </dataValidation>
    <dataValidation type="list" allowBlank="1" showInputMessage="1" showErrorMessage="1" sqref="B18">
      <formula1>$C$18:$C$24</formula1>
    </dataValidation>
    <dataValidation type="list" allowBlank="1" showInputMessage="1" showErrorMessage="1" sqref="B26">
      <formula1>$C$26:$C$29</formula1>
    </dataValidation>
    <dataValidation type="list" allowBlank="1" showInputMessage="1" showErrorMessage="1" sqref="B31">
      <formula1>$C$31:$C$34</formula1>
    </dataValidation>
    <dataValidation type="list" allowBlank="1" showInputMessage="1" showErrorMessage="1" sqref="B10:B11">
      <formula1>$C$9:$C$12</formula1>
    </dataValidation>
    <dataValidation operator="equal" allowBlank="1" showInputMessage="1" showErrorMessage="1" sqref="C4"/>
    <dataValidation type="list" allowBlank="1" showInputMessage="1" showErrorMessage="1" sqref="B6">
      <formula1>$C$6:$C$7</formula1>
    </dataValidation>
    <dataValidation type="list" allowBlank="1" showInputMessage="1" showErrorMessage="1" sqref="B9">
      <formula1>$C$9:$C$13</formula1>
    </dataValidation>
    <dataValidation type="list" allowBlank="1" showInputMessage="1" showErrorMessage="1" sqref="B36">
      <formula1>$C$36:$C$41</formula1>
    </dataValidation>
    <dataValidation type="list" allowBlank="1" showInputMessage="1" showErrorMessage="1" sqref="B15">
      <formula1>$C$15:$C$16</formula1>
    </dataValidation>
    <dataValidation type="list" operator="equal" allowBlank="1" showInputMessage="1" showErrorMessage="1" sqref="B4">
      <formula1>"03,05,10,18,25,35"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47"/>
  <sheetViews>
    <sheetView tabSelected="1" zoomScale="85" zoomScaleNormal="85" zoomScalePageLayoutView="0" workbookViewId="0" topLeftCell="A1">
      <selection activeCell="J2" sqref="J2"/>
    </sheetView>
  </sheetViews>
  <sheetFormatPr defaultColWidth="9.140625" defaultRowHeight="15"/>
  <cols>
    <col min="2" max="2" width="10.421875" style="0" bestFit="1" customWidth="1"/>
    <col min="3" max="3" width="12.28125" style="0" customWidth="1"/>
    <col min="10" max="10" width="10.7109375" style="0" bestFit="1" customWidth="1"/>
    <col min="12" max="12" width="10.7109375" style="0" bestFit="1" customWidth="1"/>
  </cols>
  <sheetData>
    <row r="1" spans="4:9" ht="14.25">
      <c r="D1" s="38"/>
      <c r="E1" s="38"/>
      <c r="F1" s="38"/>
      <c r="G1" s="38"/>
      <c r="H1" s="38"/>
      <c r="I1" s="38"/>
    </row>
    <row r="2" spans="4:18" ht="14.25">
      <c r="D2" s="41">
        <v>3</v>
      </c>
      <c r="E2" s="41">
        <v>5</v>
      </c>
      <c r="F2" s="41">
        <v>10</v>
      </c>
      <c r="G2" s="41">
        <v>18</v>
      </c>
      <c r="H2" s="41">
        <v>25</v>
      </c>
      <c r="I2" s="41">
        <v>35</v>
      </c>
      <c r="K2" s="7"/>
      <c r="L2" s="7"/>
      <c r="M2" s="85"/>
      <c r="N2" s="85"/>
      <c r="O2" s="85"/>
      <c r="P2" s="85"/>
      <c r="Q2" s="85"/>
      <c r="R2" s="85"/>
    </row>
    <row r="3" spans="2:18" ht="14.25">
      <c r="B3" s="78" t="s">
        <v>9</v>
      </c>
      <c r="C3" s="78"/>
      <c r="D3" s="80">
        <v>421.8863654732078</v>
      </c>
      <c r="E3" s="80">
        <v>515.4772488482986</v>
      </c>
      <c r="F3" s="80">
        <v>589.1861310918936</v>
      </c>
      <c r="G3" s="80">
        <v>668.2292087610118</v>
      </c>
      <c r="H3" s="80">
        <v>882.0819526388102</v>
      </c>
      <c r="I3" s="80">
        <v>936.393760607775</v>
      </c>
      <c r="J3" s="68"/>
      <c r="K3" s="89"/>
      <c r="L3" s="7"/>
      <c r="M3" s="86"/>
      <c r="N3" s="86"/>
      <c r="O3" s="86"/>
      <c r="P3" s="86"/>
      <c r="Q3" s="86"/>
      <c r="R3" s="86"/>
    </row>
    <row r="4" spans="2:18" ht="14.25">
      <c r="B4" s="36"/>
      <c r="C4" s="36"/>
      <c r="D4" s="43"/>
      <c r="E4" s="43"/>
      <c r="F4" s="43"/>
      <c r="G4" s="43"/>
      <c r="H4" s="43"/>
      <c r="I4" s="43"/>
      <c r="K4" s="7"/>
      <c r="L4" s="7"/>
      <c r="M4" s="86"/>
      <c r="N4" s="86"/>
      <c r="O4" s="86"/>
      <c r="P4" s="86"/>
      <c r="Q4" s="86"/>
      <c r="R4" s="86"/>
    </row>
    <row r="5" spans="2:18" ht="14.25">
      <c r="B5" s="78" t="s">
        <v>11</v>
      </c>
      <c r="C5" s="81" t="s">
        <v>31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K5" s="7"/>
      <c r="L5" s="87"/>
      <c r="M5" s="86"/>
      <c r="N5" s="86"/>
      <c r="O5" s="86"/>
      <c r="P5" s="86"/>
      <c r="Q5" s="86"/>
      <c r="R5" s="86"/>
    </row>
    <row r="6" spans="2:18" ht="14.25">
      <c r="B6" s="78"/>
      <c r="C6" s="81" t="s">
        <v>32</v>
      </c>
      <c r="D6" s="79">
        <v>43.64341711791804</v>
      </c>
      <c r="E6" s="79">
        <v>48.97761254344136</v>
      </c>
      <c r="F6" s="79">
        <v>60.130930251353746</v>
      </c>
      <c r="G6" s="79">
        <v>65.46512567687707</v>
      </c>
      <c r="H6" s="79">
        <v>111.04825022225815</v>
      </c>
      <c r="I6" s="79">
        <v>113.47288450658692</v>
      </c>
      <c r="J6" s="68"/>
      <c r="K6" s="7"/>
      <c r="L6" s="87"/>
      <c r="M6" s="86"/>
      <c r="N6" s="86"/>
      <c r="O6" s="86"/>
      <c r="P6" s="86"/>
      <c r="Q6" s="86"/>
      <c r="R6" s="86"/>
    </row>
    <row r="7" spans="2:18" ht="14.25">
      <c r="B7" s="36"/>
      <c r="C7" s="37"/>
      <c r="D7" s="43"/>
      <c r="E7" s="43"/>
      <c r="F7" s="43"/>
      <c r="G7" s="43"/>
      <c r="H7" s="43"/>
      <c r="I7" s="43"/>
      <c r="K7" s="7"/>
      <c r="L7" s="87"/>
      <c r="M7" s="86"/>
      <c r="N7" s="86"/>
      <c r="O7" s="86"/>
      <c r="P7" s="86"/>
      <c r="Q7" s="86"/>
      <c r="R7" s="86"/>
    </row>
    <row r="8" spans="2:18" ht="14.25">
      <c r="B8" s="78" t="s">
        <v>12</v>
      </c>
      <c r="C8" s="81" t="s">
        <v>51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K8" s="7"/>
      <c r="L8" s="87"/>
      <c r="M8" s="86"/>
      <c r="N8" s="86"/>
      <c r="O8" s="86"/>
      <c r="P8" s="86"/>
      <c r="Q8" s="86"/>
      <c r="R8" s="86"/>
    </row>
    <row r="9" spans="2:18" ht="14.25">
      <c r="B9" s="78"/>
      <c r="C9" s="81" t="s">
        <v>46</v>
      </c>
      <c r="D9" s="84" t="s">
        <v>48</v>
      </c>
      <c r="E9" s="84" t="s">
        <v>48</v>
      </c>
      <c r="F9" s="84" t="s">
        <v>48</v>
      </c>
      <c r="G9" s="84" t="s">
        <v>48</v>
      </c>
      <c r="H9" s="84" t="s">
        <v>48</v>
      </c>
      <c r="I9" s="84" t="s">
        <v>48</v>
      </c>
      <c r="K9" s="7"/>
      <c r="L9" s="87"/>
      <c r="M9" s="88"/>
      <c r="N9" s="88"/>
      <c r="O9" s="88"/>
      <c r="P9" s="88"/>
      <c r="Q9" s="88"/>
      <c r="R9" s="88"/>
    </row>
    <row r="10" spans="2:18" ht="14.25">
      <c r="B10" s="78"/>
      <c r="C10" s="81" t="s">
        <v>35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K10" s="7"/>
      <c r="L10" s="87"/>
      <c r="M10" s="86"/>
      <c r="N10" s="86"/>
      <c r="O10" s="86"/>
      <c r="P10" s="86"/>
      <c r="Q10" s="86"/>
      <c r="R10" s="86"/>
    </row>
    <row r="11" spans="2:18" ht="14.25">
      <c r="B11" s="78"/>
      <c r="C11" s="81" t="s">
        <v>52</v>
      </c>
      <c r="D11" s="79">
        <v>29.095611411945363</v>
      </c>
      <c r="E11" s="79">
        <v>33.94487998060292</v>
      </c>
      <c r="F11" s="79">
        <v>34.429806837468675</v>
      </c>
      <c r="G11" s="79">
        <v>44.61327083164955</v>
      </c>
      <c r="H11" s="79">
        <v>166.86216324431408</v>
      </c>
      <c r="I11" s="79">
        <v>268.32466216388406</v>
      </c>
      <c r="J11" s="68"/>
      <c r="K11" s="7"/>
      <c r="L11" s="87"/>
      <c r="M11" s="86"/>
      <c r="N11" s="86"/>
      <c r="O11" s="86"/>
      <c r="P11" s="86"/>
      <c r="Q11" s="86"/>
      <c r="R11" s="86"/>
    </row>
    <row r="12" spans="2:18" ht="14.25">
      <c r="B12" s="78"/>
      <c r="C12" s="81" t="s">
        <v>36</v>
      </c>
      <c r="D12" s="79">
        <v>43.34426265481388</v>
      </c>
      <c r="E12" s="79">
        <v>54.796734825830434</v>
      </c>
      <c r="F12" s="79">
        <v>68.37468681807161</v>
      </c>
      <c r="G12" s="79">
        <v>72.25410167299765</v>
      </c>
      <c r="H12" s="79">
        <v>79.04307766911823</v>
      </c>
      <c r="I12" s="79">
        <v>62.07063767881677</v>
      </c>
      <c r="J12" s="68"/>
      <c r="K12" s="7"/>
      <c r="L12" s="87"/>
      <c r="M12" s="86"/>
      <c r="N12" s="86"/>
      <c r="O12" s="86"/>
      <c r="P12" s="86"/>
      <c r="Q12" s="86"/>
      <c r="R12" s="86"/>
    </row>
    <row r="13" spans="2:18" ht="14.25">
      <c r="B13" s="36"/>
      <c r="C13" s="37"/>
      <c r="D13" s="43"/>
      <c r="E13" s="43"/>
      <c r="F13" s="43"/>
      <c r="G13" s="43"/>
      <c r="H13" s="43"/>
      <c r="I13" s="43"/>
      <c r="K13" s="7"/>
      <c r="L13" s="87"/>
      <c r="M13" s="86"/>
      <c r="N13" s="86"/>
      <c r="O13" s="86"/>
      <c r="P13" s="86"/>
      <c r="Q13" s="86"/>
      <c r="R13" s="86"/>
    </row>
    <row r="14" spans="2:18" ht="14.25">
      <c r="B14" s="78" t="s">
        <v>13</v>
      </c>
      <c r="C14" s="81">
        <v>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K14" s="7"/>
      <c r="L14" s="87"/>
      <c r="M14" s="86"/>
      <c r="N14" s="86"/>
      <c r="O14" s="86"/>
      <c r="P14" s="86"/>
      <c r="Q14" s="86"/>
      <c r="R14" s="86"/>
    </row>
    <row r="15" spans="2:18" ht="14.25">
      <c r="B15" s="78"/>
      <c r="C15" s="81">
        <v>6</v>
      </c>
      <c r="D15" s="79">
        <v>198.33508445809423</v>
      </c>
      <c r="E15" s="79">
        <v>198.33508445809423</v>
      </c>
      <c r="F15" s="79">
        <v>201.24464559928876</v>
      </c>
      <c r="G15" s="79">
        <v>201.24464559928876</v>
      </c>
      <c r="H15" s="84" t="s">
        <v>48</v>
      </c>
      <c r="I15" s="84" t="s">
        <v>48</v>
      </c>
      <c r="J15" s="68"/>
      <c r="K15" s="7"/>
      <c r="L15" s="87"/>
      <c r="M15" s="86"/>
      <c r="N15" s="86"/>
      <c r="O15" s="86"/>
      <c r="P15" s="86"/>
      <c r="Q15" s="88"/>
      <c r="R15" s="88"/>
    </row>
    <row r="16" spans="2:18" ht="14.25">
      <c r="B16" s="36"/>
      <c r="C16" s="37"/>
      <c r="D16" s="43"/>
      <c r="E16" s="43"/>
      <c r="F16" s="43"/>
      <c r="G16" s="43"/>
      <c r="H16" s="43"/>
      <c r="I16" s="43"/>
      <c r="K16" s="7"/>
      <c r="L16" s="87"/>
      <c r="M16" s="86"/>
      <c r="N16" s="86"/>
      <c r="O16" s="86"/>
      <c r="P16" s="86"/>
      <c r="Q16" s="86"/>
      <c r="R16" s="86"/>
    </row>
    <row r="17" spans="2:18" ht="14.25">
      <c r="B17" s="78" t="s">
        <v>53</v>
      </c>
      <c r="C17" s="81">
        <v>1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K17" s="7"/>
      <c r="L17" s="87"/>
      <c r="M17" s="86"/>
      <c r="N17" s="86"/>
      <c r="O17" s="86"/>
      <c r="P17" s="86"/>
      <c r="Q17" s="86"/>
      <c r="R17" s="86"/>
    </row>
    <row r="18" spans="2:18" ht="14.25">
      <c r="B18" s="78"/>
      <c r="C18" s="81">
        <v>2</v>
      </c>
      <c r="D18" s="79">
        <v>7.273902852986341</v>
      </c>
      <c r="E18" s="79">
        <v>7.758829709852097</v>
      </c>
      <c r="F18" s="79">
        <v>11.638244564778145</v>
      </c>
      <c r="G18" s="79">
        <v>11.638244564778145</v>
      </c>
      <c r="H18" s="79">
        <v>12.608098278509658</v>
      </c>
      <c r="I18" s="79">
        <v>12.608098278509658</v>
      </c>
      <c r="J18" s="68"/>
      <c r="K18" s="7"/>
      <c r="L18" s="87"/>
      <c r="M18" s="86"/>
      <c r="N18" s="86"/>
      <c r="O18" s="86"/>
      <c r="P18" s="86"/>
      <c r="Q18" s="86"/>
      <c r="R18" s="86"/>
    </row>
    <row r="19" spans="2:18" ht="14.25">
      <c r="B19" s="78"/>
      <c r="C19" s="81">
        <v>3</v>
      </c>
      <c r="D19" s="79">
        <v>12.123171421643901</v>
      </c>
      <c r="E19" s="79">
        <v>13.577951992241168</v>
      </c>
      <c r="F19" s="79">
        <v>19.882001131496</v>
      </c>
      <c r="G19" s="79">
        <v>19.882001131496</v>
      </c>
      <c r="H19" s="79">
        <v>23.761415986422048</v>
      </c>
      <c r="I19" s="79">
        <v>23.761415986422048</v>
      </c>
      <c r="J19" s="68"/>
      <c r="K19" s="7"/>
      <c r="L19" s="87"/>
      <c r="M19" s="86"/>
      <c r="N19" s="86"/>
      <c r="O19" s="86"/>
      <c r="P19" s="86"/>
      <c r="Q19" s="86"/>
      <c r="R19" s="86"/>
    </row>
    <row r="20" spans="2:18" ht="14.25">
      <c r="B20" s="78"/>
      <c r="C20" s="81">
        <v>4</v>
      </c>
      <c r="D20" s="79">
        <v>332.1748969530429</v>
      </c>
      <c r="E20" s="79">
        <v>327.3256283843853</v>
      </c>
      <c r="F20" s="79">
        <v>347.6925563727471</v>
      </c>
      <c r="G20" s="79">
        <v>347.6925563727471</v>
      </c>
      <c r="H20" s="79">
        <v>359.09782808815504</v>
      </c>
      <c r="I20" s="79">
        <v>359.09782808815504</v>
      </c>
      <c r="J20" s="68"/>
      <c r="K20" s="7"/>
      <c r="L20" s="87"/>
      <c r="M20" s="86"/>
      <c r="N20" s="86"/>
      <c r="O20" s="86"/>
      <c r="P20" s="86"/>
      <c r="Q20" s="86"/>
      <c r="R20" s="86"/>
    </row>
    <row r="21" spans="2:18" ht="14.25">
      <c r="B21" s="78"/>
      <c r="C21" s="81">
        <v>5</v>
      </c>
      <c r="D21" s="79">
        <v>43.158490261052286</v>
      </c>
      <c r="E21" s="79">
        <v>43.158490261052286</v>
      </c>
      <c r="F21" s="79">
        <v>46.55297825911258</v>
      </c>
      <c r="G21" s="79">
        <v>46.55297825911258</v>
      </c>
      <c r="H21" s="79">
        <v>91.65117594762789</v>
      </c>
      <c r="I21" s="79">
        <v>91.65117594762789</v>
      </c>
      <c r="J21" s="68"/>
      <c r="K21" s="7"/>
      <c r="L21" s="87"/>
      <c r="M21" s="86"/>
      <c r="N21" s="86"/>
      <c r="O21" s="86"/>
      <c r="P21" s="86"/>
      <c r="Q21" s="86"/>
      <c r="R21" s="86"/>
    </row>
    <row r="22" spans="2:18" ht="14.25">
      <c r="B22" s="78"/>
      <c r="C22" s="81">
        <v>6</v>
      </c>
      <c r="D22" s="79">
        <v>33.94487998060292</v>
      </c>
      <c r="E22" s="79">
        <v>48.473288612300976</v>
      </c>
      <c r="F22" s="79">
        <v>63.04049139254829</v>
      </c>
      <c r="G22" s="79">
        <v>63.04049139254829</v>
      </c>
      <c r="H22" s="79">
        <v>103.31337589913521</v>
      </c>
      <c r="I22" s="79">
        <v>103.31337589913521</v>
      </c>
      <c r="J22" s="68"/>
      <c r="K22" s="7"/>
      <c r="L22" s="87"/>
      <c r="M22" s="86"/>
      <c r="N22" s="86"/>
      <c r="O22" s="86"/>
      <c r="P22" s="86"/>
      <c r="Q22" s="86"/>
      <c r="R22" s="86"/>
    </row>
    <row r="23" spans="2:18" ht="14.25">
      <c r="B23" s="78"/>
      <c r="C23" s="81">
        <v>9</v>
      </c>
      <c r="D23" s="79">
        <v>7.273902852986341</v>
      </c>
      <c r="E23" s="79">
        <v>8.243756566717853</v>
      </c>
      <c r="F23" s="79">
        <v>11.638244564778145</v>
      </c>
      <c r="G23" s="79">
        <v>11.638244564778145</v>
      </c>
      <c r="H23" s="79">
        <v>13.093025135375415</v>
      </c>
      <c r="I23" s="79">
        <v>13.093025135375415</v>
      </c>
      <c r="J23" s="68"/>
      <c r="K23" s="7"/>
      <c r="L23" s="87"/>
      <c r="M23" s="86"/>
      <c r="N23" s="86"/>
      <c r="O23" s="86"/>
      <c r="P23" s="86"/>
      <c r="Q23" s="86"/>
      <c r="R23" s="86"/>
    </row>
    <row r="24" spans="2:18" ht="14.25">
      <c r="B24" s="36"/>
      <c r="C24" s="37"/>
      <c r="D24" s="43"/>
      <c r="E24" s="43"/>
      <c r="F24" s="43"/>
      <c r="G24" s="43"/>
      <c r="H24" s="43"/>
      <c r="I24" s="43"/>
      <c r="K24" s="7"/>
      <c r="L24" s="87"/>
      <c r="M24" s="86"/>
      <c r="N24" s="86"/>
      <c r="O24" s="86"/>
      <c r="P24" s="86"/>
      <c r="Q24" s="86"/>
      <c r="R24" s="86"/>
    </row>
    <row r="25" spans="2:18" ht="14.25">
      <c r="B25" s="78" t="s">
        <v>15</v>
      </c>
      <c r="C25" s="81">
        <v>1</v>
      </c>
      <c r="D25" s="79">
        <v>113.95781136345268</v>
      </c>
      <c r="E25" s="79">
        <v>112.01810393598964</v>
      </c>
      <c r="F25" s="79">
        <v>112.5030307928554</v>
      </c>
      <c r="G25" s="79">
        <v>118.32215307524447</v>
      </c>
      <c r="H25" s="79">
        <v>153.72181362644466</v>
      </c>
      <c r="I25" s="79">
        <v>153.84749696920716</v>
      </c>
      <c r="J25" s="68"/>
      <c r="K25" s="7"/>
      <c r="L25" s="87"/>
      <c r="M25" s="86"/>
      <c r="N25" s="86"/>
      <c r="O25" s="86"/>
      <c r="P25" s="86"/>
      <c r="Q25" s="86"/>
      <c r="R25" s="86"/>
    </row>
    <row r="26" spans="2:18" ht="14.25">
      <c r="B26" s="78"/>
      <c r="C26" s="81">
        <v>2</v>
      </c>
      <c r="D26" s="79">
        <v>113.95781136345268</v>
      </c>
      <c r="E26" s="79">
        <v>112.01810393598964</v>
      </c>
      <c r="F26" s="79">
        <v>112.5030307928554</v>
      </c>
      <c r="G26" s="79">
        <v>118.52717647512667</v>
      </c>
      <c r="H26" s="79">
        <v>153.72181362644466</v>
      </c>
      <c r="I26" s="79">
        <v>153.84749696920716</v>
      </c>
      <c r="J26" s="68"/>
      <c r="K26" s="7"/>
      <c r="L26" s="87"/>
      <c r="M26" s="86"/>
      <c r="N26" s="86"/>
      <c r="O26" s="86"/>
      <c r="P26" s="86"/>
      <c r="Q26" s="86"/>
      <c r="R26" s="86"/>
    </row>
    <row r="27" spans="2:18" ht="14.25">
      <c r="B27" s="78"/>
      <c r="C27" s="81">
        <v>3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K27" s="7"/>
      <c r="L27" s="87"/>
      <c r="M27" s="86"/>
      <c r="N27" s="86"/>
      <c r="O27" s="86"/>
      <c r="P27" s="86"/>
      <c r="Q27" s="86"/>
      <c r="R27" s="86"/>
    </row>
    <row r="28" spans="2:18" ht="14.25">
      <c r="B28" s="78"/>
      <c r="C28" s="81">
        <v>4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K28" s="7"/>
      <c r="L28" s="87"/>
      <c r="M28" s="86"/>
      <c r="N28" s="86"/>
      <c r="O28" s="86"/>
      <c r="P28" s="86"/>
      <c r="Q28" s="86"/>
      <c r="R28" s="86"/>
    </row>
    <row r="29" spans="2:18" ht="14.25">
      <c r="B29" s="36"/>
      <c r="C29" s="37"/>
      <c r="D29" s="43"/>
      <c r="E29" s="43"/>
      <c r="F29" s="43"/>
      <c r="G29" s="43"/>
      <c r="H29" s="43"/>
      <c r="I29" s="43"/>
      <c r="K29" s="7"/>
      <c r="L29" s="87"/>
      <c r="M29" s="86"/>
      <c r="N29" s="86"/>
      <c r="O29" s="86"/>
      <c r="P29" s="86"/>
      <c r="Q29" s="86"/>
      <c r="R29" s="86"/>
    </row>
    <row r="30" spans="2:18" ht="14.25">
      <c r="B30" s="78" t="s">
        <v>16</v>
      </c>
      <c r="C30" s="81">
        <v>1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K30" s="7"/>
      <c r="L30" s="87"/>
      <c r="M30" s="86"/>
      <c r="N30" s="86"/>
      <c r="O30" s="86"/>
      <c r="P30" s="86"/>
      <c r="Q30" s="86"/>
      <c r="R30" s="86"/>
    </row>
    <row r="31" spans="2:18" ht="14.25">
      <c r="B31" s="78"/>
      <c r="C31" s="81">
        <v>2</v>
      </c>
      <c r="D31" s="79">
        <v>48.97761254344136</v>
      </c>
      <c r="E31" s="79">
        <v>51.8871736846359</v>
      </c>
      <c r="F31" s="79">
        <v>56.73644225329346</v>
      </c>
      <c r="G31" s="79">
        <v>64.98019882001131</v>
      </c>
      <c r="H31" s="79">
        <v>88.2566879495676</v>
      </c>
      <c r="I31" s="79">
        <v>91.65117594762789</v>
      </c>
      <c r="J31" s="68"/>
      <c r="K31" s="7"/>
      <c r="L31" s="87"/>
      <c r="M31" s="86"/>
      <c r="N31" s="86"/>
      <c r="O31" s="86"/>
      <c r="P31" s="86"/>
      <c r="Q31" s="86"/>
      <c r="R31" s="86"/>
    </row>
    <row r="32" spans="2:18" ht="14.25">
      <c r="B32" s="78"/>
      <c r="C32" s="81">
        <v>3</v>
      </c>
      <c r="D32" s="79">
        <v>48.97761254344136</v>
      </c>
      <c r="E32" s="79">
        <v>51.8871736846359</v>
      </c>
      <c r="F32" s="79">
        <v>56.73644225329346</v>
      </c>
      <c r="G32" s="79">
        <v>64.98019882001131</v>
      </c>
      <c r="H32" s="79">
        <v>88.2566879495676</v>
      </c>
      <c r="I32" s="79">
        <v>91.65117594762789</v>
      </c>
      <c r="J32" s="68"/>
      <c r="K32" s="7"/>
      <c r="L32" s="87"/>
      <c r="M32" s="86"/>
      <c r="N32" s="86"/>
      <c r="O32" s="86"/>
      <c r="P32" s="86"/>
      <c r="Q32" s="86"/>
      <c r="R32" s="86"/>
    </row>
    <row r="33" spans="2:18" ht="14.25">
      <c r="B33" s="78"/>
      <c r="C33" s="81">
        <v>6</v>
      </c>
      <c r="D33" s="79">
        <v>48.97761254344136</v>
      </c>
      <c r="E33" s="79">
        <v>51.8871736846359</v>
      </c>
      <c r="F33" s="79">
        <v>56.73644225329346</v>
      </c>
      <c r="G33" s="79">
        <v>64.98019882001131</v>
      </c>
      <c r="H33" s="79">
        <v>88.2566879495676</v>
      </c>
      <c r="I33" s="79">
        <v>91.65117594762789</v>
      </c>
      <c r="J33" s="68"/>
      <c r="K33" s="7"/>
      <c r="L33" s="87"/>
      <c r="M33" s="86"/>
      <c r="N33" s="86"/>
      <c r="O33" s="86"/>
      <c r="P33" s="86"/>
      <c r="Q33" s="86"/>
      <c r="R33" s="86"/>
    </row>
    <row r="34" spans="2:18" ht="14.25">
      <c r="B34" s="36"/>
      <c r="C34" s="37"/>
      <c r="D34" s="43"/>
      <c r="E34" s="43"/>
      <c r="F34" s="43"/>
      <c r="G34" s="43"/>
      <c r="H34" s="43"/>
      <c r="I34" s="43"/>
      <c r="K34" s="7"/>
      <c r="L34" s="87"/>
      <c r="M34" s="86"/>
      <c r="N34" s="86"/>
      <c r="O34" s="86"/>
      <c r="P34" s="86"/>
      <c r="Q34" s="86"/>
      <c r="R34" s="86"/>
    </row>
    <row r="35" spans="2:18" ht="14.25">
      <c r="B35" s="78" t="s">
        <v>54</v>
      </c>
      <c r="C35" s="81">
        <v>0</v>
      </c>
      <c r="D35" s="79">
        <v>-123.17142164390202</v>
      </c>
      <c r="E35" s="79">
        <v>-123.17142164390202</v>
      </c>
      <c r="F35" s="79">
        <v>-126.56590964196232</v>
      </c>
      <c r="G35" s="79">
        <v>-126.56590964196232</v>
      </c>
      <c r="H35" s="84" t="s">
        <v>48</v>
      </c>
      <c r="I35" s="84" t="s">
        <v>48</v>
      </c>
      <c r="J35" s="68"/>
      <c r="K35" s="7"/>
      <c r="L35" s="87"/>
      <c r="M35" s="86"/>
      <c r="N35" s="86"/>
      <c r="O35" s="86"/>
      <c r="P35" s="86"/>
      <c r="Q35" s="88"/>
      <c r="R35" s="88"/>
    </row>
    <row r="36" spans="2:18" ht="14.25">
      <c r="B36" s="78"/>
      <c r="C36" s="81">
        <v>2</v>
      </c>
      <c r="D36" s="80">
        <v>0</v>
      </c>
      <c r="E36" s="80">
        <v>0</v>
      </c>
      <c r="F36" s="80">
        <v>0</v>
      </c>
      <c r="G36" s="80">
        <v>0</v>
      </c>
      <c r="H36" s="84" t="s">
        <v>48</v>
      </c>
      <c r="I36" s="84" t="s">
        <v>48</v>
      </c>
      <c r="K36" s="7"/>
      <c r="L36" s="87"/>
      <c r="M36" s="86"/>
      <c r="N36" s="86"/>
      <c r="O36" s="86"/>
      <c r="P36" s="86"/>
      <c r="Q36" s="88"/>
      <c r="R36" s="88"/>
    </row>
    <row r="37" spans="2:18" ht="14.25">
      <c r="B37" s="78"/>
      <c r="C37" s="81">
        <v>3</v>
      </c>
      <c r="D37" s="80">
        <v>0</v>
      </c>
      <c r="E37" s="80">
        <v>0</v>
      </c>
      <c r="F37" s="80">
        <v>0</v>
      </c>
      <c r="G37" s="80">
        <v>0</v>
      </c>
      <c r="H37" s="84" t="s">
        <v>48</v>
      </c>
      <c r="I37" s="84" t="s">
        <v>48</v>
      </c>
      <c r="K37" s="7"/>
      <c r="L37" s="87"/>
      <c r="M37" s="86"/>
      <c r="N37" s="86"/>
      <c r="O37" s="86"/>
      <c r="P37" s="86"/>
      <c r="Q37" s="88"/>
      <c r="R37" s="88"/>
    </row>
    <row r="38" spans="2:18" ht="14.25">
      <c r="B38" s="78"/>
      <c r="C38" s="81">
        <v>4</v>
      </c>
      <c r="D38" s="80">
        <v>0</v>
      </c>
      <c r="E38" s="80">
        <v>0</v>
      </c>
      <c r="F38" s="80">
        <v>0</v>
      </c>
      <c r="G38" s="80">
        <v>0</v>
      </c>
      <c r="H38" s="84" t="s">
        <v>48</v>
      </c>
      <c r="I38" s="84" t="s">
        <v>48</v>
      </c>
      <c r="K38" s="7"/>
      <c r="L38" s="87"/>
      <c r="M38" s="86"/>
      <c r="N38" s="86"/>
      <c r="O38" s="86"/>
      <c r="P38" s="86"/>
      <c r="Q38" s="88"/>
      <c r="R38" s="88"/>
    </row>
    <row r="39" spans="2:18" ht="14.25">
      <c r="B39" s="78"/>
      <c r="C39" s="81">
        <v>5</v>
      </c>
      <c r="D39" s="84" t="s">
        <v>48</v>
      </c>
      <c r="E39" s="84" t="s">
        <v>48</v>
      </c>
      <c r="F39" s="79">
        <v>266.70977127616584</v>
      </c>
      <c r="G39" s="79">
        <v>266.70977127616584</v>
      </c>
      <c r="H39" s="84" t="s">
        <v>48</v>
      </c>
      <c r="I39" s="84" t="s">
        <v>48</v>
      </c>
      <c r="J39" s="68"/>
      <c r="K39" s="7"/>
      <c r="L39" s="87"/>
      <c r="M39" s="88"/>
      <c r="N39" s="88"/>
      <c r="O39" s="86"/>
      <c r="P39" s="86"/>
      <c r="Q39" s="88"/>
      <c r="R39" s="88"/>
    </row>
    <row r="40" spans="2:18" ht="14.25">
      <c r="B40" s="78"/>
      <c r="C40" s="81">
        <v>6</v>
      </c>
      <c r="D40" s="84" t="s">
        <v>48</v>
      </c>
      <c r="E40" s="84" t="s">
        <v>48</v>
      </c>
      <c r="F40" s="79">
        <v>266.70977127616584</v>
      </c>
      <c r="G40" s="79">
        <v>266.70977127616584</v>
      </c>
      <c r="H40" s="84" t="s">
        <v>48</v>
      </c>
      <c r="I40" s="84" t="s">
        <v>48</v>
      </c>
      <c r="J40" s="68"/>
      <c r="K40" s="7"/>
      <c r="L40" s="87"/>
      <c r="M40" s="88"/>
      <c r="N40" s="88"/>
      <c r="O40" s="86"/>
      <c r="P40" s="86"/>
      <c r="Q40" s="88"/>
      <c r="R40" s="88"/>
    </row>
    <row r="41" spans="2:18" ht="14.25">
      <c r="B41" s="36"/>
      <c r="C41" s="37"/>
      <c r="D41" s="43"/>
      <c r="E41" s="43"/>
      <c r="F41" s="43"/>
      <c r="G41" s="43"/>
      <c r="H41" s="43"/>
      <c r="I41" s="43"/>
      <c r="K41" s="7"/>
      <c r="L41" s="87"/>
      <c r="M41" s="86"/>
      <c r="N41" s="86"/>
      <c r="O41" s="86"/>
      <c r="P41" s="86"/>
      <c r="Q41" s="86"/>
      <c r="R41" s="86"/>
    </row>
    <row r="42" spans="2:18" ht="14.25">
      <c r="B42" s="78" t="s">
        <v>55</v>
      </c>
      <c r="C42" s="81" t="s">
        <v>56</v>
      </c>
      <c r="D42" s="79">
        <v>291.44104097631936</v>
      </c>
      <c r="E42" s="79">
        <v>309.3833346803524</v>
      </c>
      <c r="F42" s="79">
        <v>424.7959266144023</v>
      </c>
      <c r="G42" s="79">
        <v>490.7459791481451</v>
      </c>
      <c r="H42" s="79">
        <v>585.3067162369675</v>
      </c>
      <c r="I42" s="79">
        <v>624.100864786228</v>
      </c>
      <c r="J42" s="68"/>
      <c r="K42" s="7"/>
      <c r="L42" s="87"/>
      <c r="M42" s="86"/>
      <c r="N42" s="86"/>
      <c r="O42" s="86"/>
      <c r="P42" s="86"/>
      <c r="Q42" s="86"/>
      <c r="R42" s="86"/>
    </row>
    <row r="43" spans="2:18" ht="14.25">
      <c r="B43" s="78"/>
      <c r="C43" s="81" t="s">
        <v>57</v>
      </c>
      <c r="D43" s="82">
        <v>216.76230501899295</v>
      </c>
      <c r="E43" s="82">
        <v>267.6796249898973</v>
      </c>
      <c r="F43" s="82">
        <v>346.2377758021498</v>
      </c>
      <c r="G43" s="82">
        <v>439.82865917724075</v>
      </c>
      <c r="H43" s="82">
        <v>767.6392144184919</v>
      </c>
      <c r="I43" s="82">
        <v>814.1921926776043</v>
      </c>
      <c r="J43" s="74"/>
      <c r="K43" s="7"/>
      <c r="L43" s="87"/>
      <c r="M43" s="86"/>
      <c r="N43" s="86"/>
      <c r="O43" s="86"/>
      <c r="P43" s="86"/>
      <c r="Q43" s="86"/>
      <c r="R43" s="86"/>
    </row>
    <row r="44" spans="11:18" ht="14.25">
      <c r="K44" s="7"/>
      <c r="L44" s="87"/>
      <c r="M44" s="86"/>
      <c r="N44" s="86"/>
      <c r="O44" s="86"/>
      <c r="P44" s="86"/>
      <c r="Q44" s="86"/>
      <c r="R44" s="86"/>
    </row>
    <row r="45" spans="11:18" ht="14.25">
      <c r="K45" s="7"/>
      <c r="L45" s="87"/>
      <c r="M45" s="86"/>
      <c r="N45" s="86"/>
      <c r="O45" s="86"/>
      <c r="P45" s="86"/>
      <c r="Q45" s="86"/>
      <c r="R45" s="86"/>
    </row>
    <row r="46" spans="11:18" ht="14.25">
      <c r="K46" s="7"/>
      <c r="L46" s="87"/>
      <c r="M46" s="86"/>
      <c r="N46" s="86"/>
      <c r="O46" s="86"/>
      <c r="P46" s="86"/>
      <c r="Q46" s="86"/>
      <c r="R46" s="86"/>
    </row>
    <row r="47" spans="11:18" ht="14.25">
      <c r="K47" s="7"/>
      <c r="L47" s="87"/>
      <c r="M47" s="86"/>
      <c r="N47" s="86"/>
      <c r="O47" s="86"/>
      <c r="P47" s="86"/>
      <c r="Q47" s="86"/>
      <c r="R47" s="86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SteveB</dc:creator>
  <cp:keywords/>
  <dc:description/>
  <cp:lastModifiedBy>Andrea Bennet</cp:lastModifiedBy>
  <cp:lastPrinted>2012-01-05T22:03:21Z</cp:lastPrinted>
  <dcterms:created xsi:type="dcterms:W3CDTF">2010-05-06T15:30:37Z</dcterms:created>
  <dcterms:modified xsi:type="dcterms:W3CDTF">2022-01-25T15:13:39Z</dcterms:modified>
  <cp:category/>
  <cp:version/>
  <cp:contentType/>
  <cp:contentStatus/>
</cp:coreProperties>
</file>